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filterPrivacy="1" defaultThemeVersion="124226"/>
  <xr:revisionPtr revIDLastSave="0" documentId="13_ncr:1_{5672B16A-5E30-488A-ACD5-FB9817198E1D}" xr6:coauthVersionLast="47" xr6:coauthVersionMax="47" xr10:uidLastSave="{00000000-0000-0000-0000-000000000000}"/>
  <bookViews>
    <workbookView xWindow="9420" yWindow="2955" windowWidth="24315" windowHeight="16515" xr2:uid="{00000000-000D-0000-FFFF-FFFF00000000}"/>
  </bookViews>
  <sheets>
    <sheet name="FH2024_en" sheetId="8" r:id="rId1"/>
  </sheets>
  <definedNames>
    <definedName name="_xlnm.Print_Area" localSheetId="0">FH2024_en!$A$1:$R$52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7" i="8" l="1"/>
  <c r="H47" i="8"/>
  <c r="G47" i="8"/>
  <c r="F47" i="8"/>
  <c r="E47" i="8"/>
  <c r="I46" i="8"/>
  <c r="H46" i="8"/>
  <c r="G46" i="8"/>
  <c r="F46" i="8"/>
  <c r="E46" i="8"/>
  <c r="N38" i="8"/>
  <c r="M38" i="8"/>
  <c r="L38" i="8"/>
  <c r="K38" i="8"/>
  <c r="J38" i="8"/>
  <c r="I38" i="8"/>
  <c r="H38" i="8"/>
  <c r="G38" i="8"/>
  <c r="F38" i="8"/>
  <c r="E38" i="8"/>
  <c r="L34" i="8"/>
  <c r="K34" i="8"/>
  <c r="J34" i="8"/>
  <c r="I34" i="8"/>
  <c r="H34" i="8"/>
  <c r="G34" i="8"/>
  <c r="F34" i="8"/>
  <c r="E34" i="8"/>
  <c r="L33" i="8"/>
  <c r="K33" i="8"/>
  <c r="J33" i="8"/>
  <c r="I33" i="8"/>
  <c r="H33" i="8"/>
  <c r="G33" i="8"/>
  <c r="F33" i="8"/>
  <c r="E33" i="8"/>
  <c r="I32" i="8"/>
  <c r="H32" i="8"/>
  <c r="G32" i="8"/>
  <c r="F32" i="8"/>
  <c r="E32" i="8"/>
  <c r="I31" i="8"/>
  <c r="H31" i="8"/>
  <c r="G31" i="8"/>
  <c r="F31" i="8"/>
  <c r="E31" i="8"/>
  <c r="P25" i="8"/>
  <c r="P27" i="8" s="1"/>
  <c r="N25" i="8"/>
  <c r="N27" i="8" s="1"/>
  <c r="P19" i="8"/>
  <c r="P20" i="8" s="1"/>
  <c r="N19" i="8"/>
  <c r="N20" i="8" s="1"/>
</calcChain>
</file>

<file path=xl/sharedStrings.xml><?xml version="1.0" encoding="utf-8"?>
<sst xmlns="http://schemas.openxmlformats.org/spreadsheetml/2006/main" count="79" uniqueCount="58">
  <si>
    <t>単位: 百万円</t>
    <rPh sb="0" eb="2">
      <t>タンイ</t>
    </rPh>
    <rPh sb="4" eb="7">
      <t>ヒャクマンエン</t>
    </rPh>
    <phoneticPr fontId="3"/>
  </si>
  <si>
    <t>（U.S. GAAP）</t>
  </si>
  <si>
    <t>(IFRS)</t>
    <phoneticPr fontId="3"/>
  </si>
  <si>
    <t>▲177,466</t>
    <phoneticPr fontId="3"/>
  </si>
  <si>
    <t>▲1,766,638</t>
    <phoneticPr fontId="3"/>
  </si>
  <si>
    <t>▲13,966</t>
    <phoneticPr fontId="3"/>
  </si>
  <si>
    <t>–</t>
  </si>
  <si>
    <t>-</t>
    <phoneticPr fontId="3"/>
  </si>
  <si>
    <t xml:space="preserve"> </t>
    <phoneticPr fontId="3"/>
  </si>
  <si>
    <t>Financial Highlights</t>
    <phoneticPr fontId="3"/>
  </si>
  <si>
    <t>(Millions of US dollars)</t>
    <rPh sb="0" eb="1">
      <t>タンイ</t>
    </rPh>
    <rPh sb="2" eb="4">
      <t>ヒャクマン</t>
    </rPh>
    <rPh sb="4" eb="5">
      <t>ベイ</t>
    </rPh>
    <phoneticPr fontId="3"/>
  </si>
  <si>
    <t>(Millions of yen)</t>
    <rPh sb="5" eb="6">
      <t>エン</t>
    </rPh>
    <phoneticPr fontId="3"/>
  </si>
  <si>
    <t>Results of Operations:</t>
  </si>
  <si>
    <t>Revenues*1</t>
  </si>
  <si>
    <t>Gross profit</t>
  </si>
  <si>
    <t xml:space="preserve">Income from investments accounted for using the equity method </t>
    <phoneticPr fontId="3"/>
  </si>
  <si>
    <t>Net income (loss) attributable to owners of the parent</t>
    <rPh sb="0" eb="2">
      <t>トウキ</t>
    </rPh>
    <rPh sb="2" eb="5">
      <t>ジュンリエキ</t>
    </rPh>
    <rPh sb="6" eb="7">
      <t>ジュン</t>
    </rPh>
    <rPh sb="7" eb="9">
      <t>ソンシツ</t>
    </rPh>
    <rPh sb="11" eb="13">
      <t>ミツビシ</t>
    </rPh>
    <rPh sb="13" eb="15">
      <t>ショウジ</t>
    </rPh>
    <rPh sb="16" eb="19">
      <t>ショユウシャ</t>
    </rPh>
    <rPh sb="20" eb="22">
      <t>キゾク</t>
    </rPh>
    <phoneticPr fontId="3"/>
  </si>
  <si>
    <t>Financial Position at Year-End:</t>
    <phoneticPr fontId="3"/>
  </si>
  <si>
    <t xml:space="preserve">Total assets </t>
  </si>
  <si>
    <t xml:space="preserve">Borrowings (less current maturities) </t>
  </si>
  <si>
    <t>Equity attributable to owners of the parent</t>
  </si>
  <si>
    <t>Gross interest-bearing liabilities*2</t>
  </si>
  <si>
    <t>Net interest-bearing liabilities*3</t>
  </si>
  <si>
    <t xml:space="preserve">Net cash provided by operating activities </t>
  </si>
  <si>
    <t xml:space="preserve">Net cash used in investing activities </t>
  </si>
  <si>
    <t xml:space="preserve">Free cash flow </t>
  </si>
  <si>
    <t>Net cash provided by (used in) financing activities</t>
  </si>
  <si>
    <t>Net cash flows</t>
  </si>
  <si>
    <t>Cash Flows:</t>
    <phoneticPr fontId="3"/>
  </si>
  <si>
    <t>Per Share Information</t>
  </si>
  <si>
    <t>Net income (loss) attributable to owners of the parent per share:</t>
  </si>
  <si>
    <t>Cash dividends per share (yen, US dollars)*4</t>
  </si>
  <si>
    <t>Equity per share attributable to owners of the parent (yen, US dollars)*4</t>
  </si>
  <si>
    <t>Payout ratio (%)</t>
  </si>
  <si>
    <t>Diluted (yen, US dollars)*4</t>
    <phoneticPr fontId="3"/>
  </si>
  <si>
    <t>Basic (yen, US dollars)*4</t>
    <phoneticPr fontId="3"/>
  </si>
  <si>
    <t>Common Stock</t>
  </si>
  <si>
    <t>Number of shares outstanding at year-end (thousands of shares)*4</t>
  </si>
  <si>
    <t>Financial Measures</t>
  </si>
  <si>
    <t>ROE (%)</t>
  </si>
  <si>
    <t xml:space="preserve">ROA (%) </t>
  </si>
  <si>
    <t>DOE (%)</t>
  </si>
  <si>
    <t>Stock Price Information</t>
  </si>
  <si>
    <t>Highest stock price (yen, US dollars)*5</t>
  </si>
  <si>
    <t>Lowest stock price (yen, US dollars)*5</t>
  </si>
  <si>
    <t>Price earnings ratio (PER) (times)*6</t>
  </si>
  <si>
    <t>Price book-value ratio (PBR) (times)*7</t>
  </si>
  <si>
    <t>Note: The application of IFRS 16 “Leases” from the start of the fiscal year ended March 31, 2020, increased total assets due to an increase in right-of-use assets included in calculations. In addition, lease payments have been reclassified from net cash provided by operating activities to net cash provided by financing activities. US dollar amounts are converted at the rate of U.S.$1 = ¥151.</t>
    <phoneticPr fontId="3"/>
  </si>
  <si>
    <t>*1 In the fiscal year ended March 31, 2019, revenues exceeded the results of the previous fiscal year. This was mainly due to the application of IFRS 15 “Revenue from Contract with Customers,” which led to an increase of transactions wherein the identified performance obligation of the Company is the transfer of goods as principal and therefore revenue is recognized in the gross amount of consideration.</t>
  </si>
  <si>
    <t>*2 “Gross interest-bearing liabilities” (excluding lease liabilities) is defined as the total of debt and borrowings of current and fixed liabilities.</t>
  </si>
  <si>
    <t>*3 Net interest-bearing liabilities is defined as gross interest-bearing liabilities minus cash and cash equivalents and time deposits.</t>
  </si>
  <si>
    <t>*4 On January 1, 2024, the Company conducted a three-for-one stock split of its common shares. The calculations of “basic net income per share, diluted net income per share, cash dividends per share, equity per share attributable to owners of the parent, and number of shares issued are done under the assumption that the stock split occurred at the start of the fiscal year ended March 31, 2015. Furthermore, the number of shares issued excludes treasury stock held by the Company.</t>
  </si>
  <si>
    <t>*5 Stock prices between the fiscal year ended March 31, 2015 and the fiscal year ended March 31, 2024 show the highest and the lowest stock prices after the stock split.</t>
  </si>
  <si>
    <t>*6 PER is calculated by dividing the closing price at the end of the fiscal year (Tokyo Stock Exchange share price) by the basic net income (loss) per share (attributable to owners of the parent).</t>
  </si>
  <si>
    <t>*7 PBR is calculated by dividing the closing price at the end of the fiscal year (Tokyo Stock Exchange share price) by the equity per share attributable to owners of the parent.</t>
  </si>
  <si>
    <t>Mitsubishi Corporation and Subsidiaries</t>
  </si>
  <si>
    <t>Fiscal Years ended March 31</t>
    <phoneticPr fontId="3"/>
  </si>
  <si>
    <t>The consolidated financial information is prepared in accordance with International Financial Reporting Standards (“IFRS”).</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</si>
</sst>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7" formatCode="&quot;¥&quot;#,##0.00;&quot;¥&quot;\-#,##0.00"/>
    <numFmt numFmtId="176" formatCode="#,##0.0;[Red]\-#,##0.0"/>
    <numFmt numFmtId="177" formatCode="0.00_ "/>
    <numFmt numFmtId="178" formatCode="#,##0;&quot;▲ &quot;#,##0"/>
    <numFmt numFmtId="179" formatCode="0.0;&quot;▲ &quot;0.0"/>
    <numFmt numFmtId="180" formatCode="#,##0.00;&quot;▲ &quot;#,##0.00"/>
    <numFmt numFmtId="181" formatCode="0.0%"/>
    <numFmt numFmtId="182" formatCode="[$$-409]#,##0;[$$-409]#,##0"/>
    <numFmt numFmtId="183" formatCode="[$$-409]#,##0;\-[$$-409]#,##0"/>
    <numFmt numFmtId="184" formatCode="[$$-409]#,##0.00;[$$-409]#,##0.00"/>
    <numFmt numFmtId="185" formatCode="#,##0_);\(#,##0\)"/>
  </numFmts>
  <fonts count="2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2"/>
      <charset val="128"/>
    </font>
    <font>
      <u/>
      <sz val="11"/>
      <color theme="10"/>
      <name val="ＭＳ Ｐゴシック"/>
      <family val="3"/>
      <charset val="128"/>
    </font>
    <font>
      <sz val="11"/>
      <color theme="1"/>
      <name val="ＭＳ Ｐゴシック"/>
      <family val="3"/>
      <charset val="128"/>
    </font>
    <font>
      <sz val="8"/>
      <color theme="1"/>
      <name val="ＭＳ Ｐゴシック"/>
      <family val="3"/>
      <charset val="128"/>
    </font>
    <font>
      <b/>
      <sz val="11"/>
      <color theme="1"/>
      <name val="ＭＳ Ｐゴシック"/>
      <family val="3"/>
      <charset val="128"/>
    </font>
    <font>
      <u/>
      <sz val="11"/>
      <color theme="1"/>
      <name val="ＭＳ Ｐゴシック"/>
      <family val="3"/>
      <charset val="128"/>
    </font>
    <font>
      <i/>
      <sz val="9"/>
      <color theme="1"/>
      <name val="Helvetica"/>
      <family val="2"/>
    </font>
    <font>
      <sz val="11"/>
      <name val="游明朝"/>
      <family val="1"/>
      <charset val="128"/>
    </font>
    <font>
      <sz val="9"/>
      <name val="游明朝"/>
      <family val="1"/>
      <charset val="128"/>
    </font>
    <font>
      <b/>
      <sz val="11"/>
      <name val="游明朝"/>
      <family val="1"/>
      <charset val="128"/>
    </font>
    <font>
      <b/>
      <sz val="9"/>
      <name val="游明朝"/>
      <family val="1"/>
      <charset val="128"/>
    </font>
    <font>
      <sz val="11"/>
      <color theme="1"/>
      <name val="Times New Roman"/>
      <family val="1"/>
    </font>
    <font>
      <sz val="9"/>
      <name val="Times New Roman"/>
      <family val="1"/>
    </font>
    <font>
      <sz val="9"/>
      <color theme="1"/>
      <name val="Times New Roman"/>
      <family val="1"/>
    </font>
    <font>
      <i/>
      <sz val="9"/>
      <color theme="1"/>
      <name val="Times New Roman"/>
      <family val="1"/>
    </font>
    <font>
      <b/>
      <sz val="11"/>
      <name val="Times New Roman"/>
      <family val="1"/>
    </font>
    <font>
      <sz val="11"/>
      <name val="Times New Roman"/>
      <family val="1"/>
    </font>
    <font>
      <sz val="18"/>
      <color theme="1"/>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theme="1"/>
      </bottom>
      <diagonal/>
    </border>
  </borders>
  <cellStyleXfs count="8">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4" fillId="0" borderId="0">
      <alignment vertical="center"/>
    </xf>
    <xf numFmtId="6" fontId="2" fillId="0" borderId="0" applyFont="0" applyFill="0" applyBorder="0" applyAlignment="0" applyProtection="0">
      <alignment vertical="center"/>
    </xf>
    <xf numFmtId="9" fontId="2"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91">
    <xf numFmtId="0" fontId="0" fillId="0" borderId="0" xfId="0">
      <alignment vertical="center"/>
    </xf>
    <xf numFmtId="0" fontId="6" fillId="0" borderId="0" xfId="0" applyFont="1">
      <alignment vertical="center"/>
    </xf>
    <xf numFmtId="0" fontId="7" fillId="0" borderId="0" xfId="0" applyFont="1" applyAlignment="1">
      <alignment horizontal="left" vertical="center"/>
    </xf>
    <xf numFmtId="38" fontId="6" fillId="0" borderId="0" xfId="1" applyFont="1" applyFill="1">
      <alignment vertical="center"/>
    </xf>
    <xf numFmtId="3" fontId="6" fillId="0" borderId="0" xfId="0" applyNumberFormat="1" applyFont="1">
      <alignment vertical="center"/>
    </xf>
    <xf numFmtId="181" fontId="6" fillId="0" borderId="0" xfId="6" applyNumberFormat="1" applyFont="1">
      <alignment vertical="center"/>
    </xf>
    <xf numFmtId="0" fontId="8" fillId="0" borderId="0" xfId="0" applyFont="1" applyAlignment="1">
      <alignment horizontal="right" vertical="center"/>
    </xf>
    <xf numFmtId="7" fontId="8" fillId="0" borderId="0" xfId="0" applyNumberFormat="1" applyFont="1">
      <alignment vertical="center"/>
    </xf>
    <xf numFmtId="0" fontId="6" fillId="0" borderId="1" xfId="0" applyFont="1" applyBorder="1">
      <alignment vertical="center"/>
    </xf>
    <xf numFmtId="0" fontId="6" fillId="0" borderId="0" xfId="0" applyFont="1" applyAlignment="1">
      <alignment horizontal="center" vertical="center"/>
    </xf>
    <xf numFmtId="0" fontId="6" fillId="0" borderId="3" xfId="0" applyFont="1" applyBorder="1">
      <alignment vertical="center"/>
    </xf>
    <xf numFmtId="179" fontId="8" fillId="0" borderId="8" xfId="0" applyNumberFormat="1" applyFont="1" applyBorder="1" applyAlignment="1">
      <alignment horizontal="center" vertical="center"/>
    </xf>
    <xf numFmtId="179" fontId="8" fillId="0" borderId="0" xfId="0" applyNumberFormat="1" applyFont="1" applyAlignment="1">
      <alignment horizontal="center" vertical="center"/>
    </xf>
    <xf numFmtId="0" fontId="6" fillId="0" borderId="2" xfId="0" applyFont="1" applyBorder="1">
      <alignment vertical="center"/>
    </xf>
    <xf numFmtId="179" fontId="8" fillId="0" borderId="7" xfId="0" applyNumberFormat="1" applyFont="1" applyBorder="1" applyAlignment="1">
      <alignment horizontal="center" vertical="center"/>
    </xf>
    <xf numFmtId="0" fontId="8" fillId="0" borderId="5" xfId="0" applyFont="1" applyBorder="1">
      <alignment vertical="center"/>
    </xf>
    <xf numFmtId="178" fontId="6" fillId="0" borderId="5" xfId="1" applyNumberFormat="1" applyFont="1" applyFill="1" applyBorder="1">
      <alignment vertical="center"/>
    </xf>
    <xf numFmtId="178" fontId="6" fillId="0" borderId="0" xfId="1" applyNumberFormat="1" applyFont="1" applyFill="1" applyBorder="1">
      <alignment vertical="center"/>
    </xf>
    <xf numFmtId="0" fontId="6" fillId="0" borderId="5" xfId="0" applyFont="1" applyBorder="1">
      <alignment vertical="center"/>
    </xf>
    <xf numFmtId="178" fontId="6" fillId="2" borderId="5" xfId="1" applyNumberFormat="1" applyFont="1" applyFill="1" applyBorder="1">
      <alignment vertical="center"/>
    </xf>
    <xf numFmtId="182" fontId="6" fillId="0" borderId="5" xfId="1" applyNumberFormat="1" applyFont="1" applyFill="1" applyBorder="1">
      <alignment vertical="center"/>
    </xf>
    <xf numFmtId="0" fontId="9" fillId="0" borderId="0" xfId="7" applyFont="1">
      <alignment vertical="center"/>
    </xf>
    <xf numFmtId="0" fontId="7" fillId="0" borderId="0" xfId="0" applyFont="1" applyAlignment="1">
      <alignment horizontal="left" vertical="center" wrapText="1"/>
    </xf>
    <xf numFmtId="182" fontId="6" fillId="0" borderId="5" xfId="5" applyNumberFormat="1" applyFont="1" applyFill="1" applyBorder="1">
      <alignment vertical="center"/>
    </xf>
    <xf numFmtId="178" fontId="6" fillId="0" borderId="9" xfId="1" applyNumberFormat="1" applyFont="1" applyFill="1" applyBorder="1">
      <alignment vertical="center"/>
    </xf>
    <xf numFmtId="38" fontId="6" fillId="0" borderId="0" xfId="1" applyFont="1" applyFill="1" applyBorder="1">
      <alignment vertical="center"/>
    </xf>
    <xf numFmtId="3" fontId="6" fillId="0" borderId="5" xfId="0" applyNumberFormat="1" applyFont="1" applyBorder="1">
      <alignment vertical="center"/>
    </xf>
    <xf numFmtId="3" fontId="6" fillId="0" borderId="5" xfId="0" applyNumberFormat="1" applyFont="1" applyBorder="1" applyAlignment="1">
      <alignment horizontal="right" vertical="center"/>
    </xf>
    <xf numFmtId="182" fontId="6" fillId="0" borderId="4" xfId="5" applyNumberFormat="1" applyFont="1" applyFill="1" applyBorder="1">
      <alignment vertical="center"/>
    </xf>
    <xf numFmtId="182" fontId="6" fillId="0" borderId="5" xfId="0" applyNumberFormat="1" applyFont="1" applyBorder="1">
      <alignment vertical="center"/>
    </xf>
    <xf numFmtId="178" fontId="6" fillId="0" borderId="5" xfId="1" applyNumberFormat="1" applyFont="1" applyFill="1" applyBorder="1" applyAlignment="1">
      <alignment horizontal="center" vertical="center"/>
    </xf>
    <xf numFmtId="178" fontId="6" fillId="0" borderId="0" xfId="1" applyNumberFormat="1" applyFont="1" applyFill="1" applyBorder="1" applyAlignment="1">
      <alignment horizontal="center" vertical="center"/>
    </xf>
    <xf numFmtId="178" fontId="6" fillId="0" borderId="5" xfId="1" applyNumberFormat="1" applyFont="1" applyFill="1" applyBorder="1" applyAlignment="1">
      <alignment horizontal="right" vertical="center"/>
    </xf>
    <xf numFmtId="182" fontId="6" fillId="0" borderId="5" xfId="1" applyNumberFormat="1" applyFont="1" applyFill="1" applyBorder="1" applyAlignment="1">
      <alignment horizontal="right" vertical="center"/>
    </xf>
    <xf numFmtId="3" fontId="10" fillId="0" borderId="0" xfId="0" applyNumberFormat="1" applyFont="1">
      <alignment vertical="center"/>
    </xf>
    <xf numFmtId="183" fontId="6" fillId="0" borderId="5" xfId="1" applyNumberFormat="1" applyFont="1" applyFill="1" applyBorder="1" applyAlignment="1">
      <alignment horizontal="right" vertical="center"/>
    </xf>
    <xf numFmtId="178" fontId="7" fillId="0" borderId="0" xfId="0" applyNumberFormat="1" applyFont="1" applyAlignment="1">
      <alignment horizontal="left" vertical="center"/>
    </xf>
    <xf numFmtId="178" fontId="6" fillId="0" borderId="5" xfId="0" applyNumberFormat="1" applyFont="1" applyBorder="1">
      <alignment vertical="center"/>
    </xf>
    <xf numFmtId="178" fontId="6" fillId="0" borderId="6" xfId="0" applyNumberFormat="1" applyFont="1" applyBorder="1">
      <alignment vertical="center"/>
    </xf>
    <xf numFmtId="178" fontId="6" fillId="0" borderId="5" xfId="0" applyNumberFormat="1" applyFont="1" applyBorder="1" applyAlignment="1">
      <alignment horizontal="center" vertical="center"/>
    </xf>
    <xf numFmtId="178" fontId="6" fillId="0" borderId="0" xfId="0" applyNumberFormat="1" applyFont="1" applyAlignment="1">
      <alignment horizontal="center" vertical="center"/>
    </xf>
    <xf numFmtId="180" fontId="6" fillId="0" borderId="5" xfId="1" applyNumberFormat="1" applyFont="1" applyFill="1" applyBorder="1">
      <alignment vertical="center"/>
    </xf>
    <xf numFmtId="180" fontId="6" fillId="0" borderId="0" xfId="1" applyNumberFormat="1" applyFont="1" applyFill="1" applyBorder="1">
      <alignment vertical="center"/>
    </xf>
    <xf numFmtId="184" fontId="6" fillId="0" borderId="4" xfId="1" applyNumberFormat="1" applyFont="1" applyFill="1" applyBorder="1">
      <alignment vertical="center"/>
    </xf>
    <xf numFmtId="0" fontId="7" fillId="0" borderId="0" xfId="0" applyFont="1">
      <alignment vertical="center"/>
    </xf>
    <xf numFmtId="184" fontId="6" fillId="0" borderId="5" xfId="1" applyNumberFormat="1" applyFont="1" applyFill="1" applyBorder="1">
      <alignment vertical="center"/>
    </xf>
    <xf numFmtId="184" fontId="6" fillId="0" borderId="5" xfId="1" applyNumberFormat="1" applyFont="1" applyFill="1" applyBorder="1" applyAlignment="1">
      <alignment horizontal="center" vertical="center"/>
    </xf>
    <xf numFmtId="177" fontId="6" fillId="0" borderId="5" xfId="0" applyNumberFormat="1" applyFont="1" applyBorder="1" applyAlignment="1">
      <alignment horizontal="center" vertical="center"/>
    </xf>
    <xf numFmtId="0" fontId="6" fillId="0" borderId="5" xfId="0" applyFont="1" applyBorder="1" applyAlignment="1">
      <alignment horizontal="right" vertical="center"/>
    </xf>
    <xf numFmtId="177" fontId="6" fillId="0" borderId="5" xfId="0" applyNumberFormat="1" applyFont="1" applyBorder="1">
      <alignment vertical="center"/>
    </xf>
    <xf numFmtId="177" fontId="6" fillId="0" borderId="0" xfId="0" applyNumberFormat="1" applyFont="1">
      <alignment vertical="center"/>
    </xf>
    <xf numFmtId="177" fontId="4" fillId="0" borderId="6" xfId="0" applyNumberFormat="1" applyFont="1" applyBorder="1">
      <alignment vertical="center"/>
    </xf>
    <xf numFmtId="38" fontId="6" fillId="0" borderId="5" xfId="1" applyFont="1" applyFill="1" applyBorder="1">
      <alignment vertical="center"/>
    </xf>
    <xf numFmtId="0" fontId="4" fillId="0" borderId="4" xfId="0" applyFont="1" applyBorder="1" applyAlignment="1">
      <alignment horizontal="center" vertical="center"/>
    </xf>
    <xf numFmtId="0" fontId="6" fillId="0" borderId="5" xfId="0" applyFont="1" applyBorder="1" applyAlignment="1">
      <alignment horizontal="center" vertical="center"/>
    </xf>
    <xf numFmtId="176" fontId="6" fillId="0" borderId="5" xfId="1" applyNumberFormat="1" applyFont="1" applyFill="1" applyBorder="1">
      <alignment vertical="center"/>
    </xf>
    <xf numFmtId="179" fontId="6" fillId="0" borderId="5" xfId="1" applyNumberFormat="1" applyFont="1" applyFill="1" applyBorder="1">
      <alignment vertical="center"/>
    </xf>
    <xf numFmtId="176" fontId="6" fillId="0" borderId="0" xfId="1" applyNumberFormat="1" applyFont="1" applyFill="1" applyBorder="1">
      <alignment vertical="center"/>
    </xf>
    <xf numFmtId="0" fontId="4" fillId="0" borderId="5" xfId="0" applyFont="1" applyBorder="1" applyAlignment="1">
      <alignment horizontal="center" vertical="center"/>
    </xf>
    <xf numFmtId="0" fontId="7" fillId="0" borderId="0" xfId="0" applyFont="1" applyAlignment="1">
      <alignment vertical="center" wrapText="1"/>
    </xf>
    <xf numFmtId="38" fontId="4" fillId="0" borderId="5" xfId="1" applyFont="1" applyFill="1" applyBorder="1" applyAlignment="1">
      <alignment horizontal="center" vertical="center"/>
    </xf>
    <xf numFmtId="184" fontId="4" fillId="0" borderId="5" xfId="1" applyNumberFormat="1" applyFont="1" applyFill="1" applyBorder="1" applyAlignment="1">
      <alignment horizontal="center" vertical="center"/>
    </xf>
    <xf numFmtId="184" fontId="4" fillId="0" borderId="5" xfId="1" applyNumberFormat="1" applyFont="1" applyFill="1" applyBorder="1">
      <alignment vertical="center"/>
    </xf>
    <xf numFmtId="40" fontId="6" fillId="0" borderId="0" xfId="1" applyNumberFormat="1" applyFont="1" applyFill="1" applyBorder="1">
      <alignment vertical="center"/>
    </xf>
    <xf numFmtId="40" fontId="4" fillId="0" borderId="5" xfId="1" applyNumberFormat="1" applyFont="1" applyFill="1" applyBorder="1" applyAlignment="1">
      <alignment horizontal="center" vertical="center"/>
    </xf>
    <xf numFmtId="176" fontId="4" fillId="0" borderId="7" xfId="1" applyNumberFormat="1" applyFont="1" applyFill="1" applyBorder="1" applyAlignment="1">
      <alignment horizontal="center" vertical="center"/>
    </xf>
    <xf numFmtId="0" fontId="12" fillId="0" borderId="0" xfId="0" applyFont="1">
      <alignment vertical="center"/>
    </xf>
    <xf numFmtId="185" fontId="6" fillId="0" borderId="5" xfId="1" applyNumberFormat="1" applyFont="1" applyFill="1" applyBorder="1">
      <alignment vertical="center"/>
    </xf>
    <xf numFmtId="185" fontId="6" fillId="0" borderId="5" xfId="1" applyNumberFormat="1" applyFont="1" applyFill="1" applyBorder="1" applyAlignment="1">
      <alignment horizontal="right" vertical="center"/>
    </xf>
    <xf numFmtId="185" fontId="6" fillId="0" borderId="5" xfId="0" applyNumberFormat="1" applyFont="1" applyBorder="1" applyAlignment="1">
      <alignment horizontal="center" vertical="center"/>
    </xf>
    <xf numFmtId="185" fontId="6" fillId="0" borderId="5" xfId="1" applyNumberFormat="1" applyFont="1" applyFill="1" applyBorder="1" applyAlignment="1">
      <alignment horizontal="center" vertical="center"/>
    </xf>
    <xf numFmtId="185" fontId="6" fillId="0" borderId="5" xfId="0" applyNumberFormat="1" applyFont="1" applyBorder="1">
      <alignment vertical="center"/>
    </xf>
    <xf numFmtId="185" fontId="6" fillId="0" borderId="5" xfId="6" applyNumberFormat="1" applyFont="1" applyFill="1" applyBorder="1">
      <alignment vertical="center"/>
    </xf>
    <xf numFmtId="0" fontId="14" fillId="0" borderId="0" xfId="0" applyFont="1">
      <alignment vertical="center"/>
    </xf>
    <xf numFmtId="38" fontId="15" fillId="0" borderId="5" xfId="1" applyFont="1" applyFill="1" applyBorder="1">
      <alignment vertical="center"/>
    </xf>
    <xf numFmtId="185" fontId="15" fillId="0" borderId="5" xfId="1" applyNumberFormat="1" applyFont="1" applyFill="1" applyBorder="1" applyAlignment="1">
      <alignment horizontal="center" vertical="center"/>
    </xf>
    <xf numFmtId="0" fontId="16" fillId="0" borderId="0" xfId="0" applyFont="1">
      <alignment vertical="center"/>
    </xf>
    <xf numFmtId="185" fontId="15" fillId="0" borderId="5" xfId="1" applyNumberFormat="1" applyFont="1" applyFill="1" applyBorder="1" applyAlignment="1">
      <alignment horizontal="right" vertical="center"/>
    </xf>
    <xf numFmtId="40" fontId="15" fillId="0" borderId="5" xfId="1" applyNumberFormat="1" applyFont="1" applyFill="1" applyBorder="1">
      <alignment vertical="center"/>
    </xf>
    <xf numFmtId="176" fontId="15" fillId="0" borderId="7" xfId="1" applyNumberFormat="1" applyFont="1" applyFill="1" applyBorder="1">
      <alignment vertical="center"/>
    </xf>
    <xf numFmtId="185" fontId="15" fillId="0" borderId="7" xfId="1" applyNumberFormat="1" applyFont="1" applyFill="1" applyBorder="1" applyAlignment="1">
      <alignment horizontal="right" vertical="center"/>
    </xf>
    <xf numFmtId="0" fontId="17" fillId="0" borderId="0" xfId="0" applyFont="1">
      <alignment vertical="center"/>
    </xf>
    <xf numFmtId="0" fontId="15" fillId="0" borderId="0" xfId="0" applyFont="1">
      <alignment vertical="center"/>
    </xf>
    <xf numFmtId="3" fontId="18" fillId="0" borderId="0" xfId="0" applyNumberFormat="1" applyFont="1">
      <alignment vertical="center"/>
    </xf>
    <xf numFmtId="3" fontId="15" fillId="0" borderId="0" xfId="0" applyNumberFormat="1" applyFont="1">
      <alignment vertical="center"/>
    </xf>
    <xf numFmtId="0" fontId="11" fillId="0" borderId="0" xfId="0" applyFont="1">
      <alignment vertical="center"/>
    </xf>
    <xf numFmtId="0" fontId="13" fillId="0" borderId="0" xfId="0" applyFont="1">
      <alignment vertical="center"/>
    </xf>
    <xf numFmtId="0" fontId="19" fillId="0" borderId="0" xfId="0" applyFont="1">
      <alignment vertical="center"/>
    </xf>
    <xf numFmtId="0" fontId="20" fillId="0" borderId="0" xfId="0" applyFont="1">
      <alignment vertical="center"/>
    </xf>
    <xf numFmtId="0" fontId="20" fillId="0" borderId="10" xfId="0" applyFont="1" applyBorder="1">
      <alignment vertical="center"/>
    </xf>
    <xf numFmtId="0" fontId="21" fillId="0" borderId="0" xfId="0" applyFont="1">
      <alignment vertical="center"/>
    </xf>
  </cellXfs>
  <cellStyles count="8">
    <cellStyle name="パーセント" xfId="6" builtinId="5"/>
    <cellStyle name="ハイパーリンク" xfId="7" builtinId="8"/>
    <cellStyle name="桁区切り" xfId="1" builtinId="6"/>
    <cellStyle name="桁区切り 2" xfId="3" xr:uid="{00000000-0005-0000-0000-000001000000}"/>
    <cellStyle name="通貨" xfId="5" builtinId="7"/>
    <cellStyle name="標準" xfId="0" builtinId="0"/>
    <cellStyle name="標準 2" xfId="2" xr:uid="{00000000-0005-0000-0000-000003000000}"/>
    <cellStyle name="標準 3"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57"/>
  <sheetViews>
    <sheetView tabSelected="1" zoomScale="75" zoomScaleNormal="75" zoomScaleSheetLayoutView="100" workbookViewId="0">
      <pane xSplit="1" ySplit="8" topLeftCell="E9" activePane="bottomRight" state="frozen"/>
      <selection pane="topRight" activeCell="B1" sqref="B1"/>
      <selection pane="bottomLeft" activeCell="A11" sqref="A11"/>
      <selection pane="bottomRight"/>
    </sheetView>
  </sheetViews>
  <sheetFormatPr defaultColWidth="8.875" defaultRowHeight="13.5" x14ac:dyDescent="0.15"/>
  <cols>
    <col min="1" max="1" width="65.625" style="1" customWidth="1"/>
    <col min="2" max="4" width="15.625" style="1" hidden="1" customWidth="1"/>
    <col min="5" max="5" width="15.625" style="1" customWidth="1"/>
    <col min="6" max="6" width="16.5" style="1" customWidth="1"/>
    <col min="7" max="14" width="15.625" style="1" customWidth="1"/>
    <col min="15" max="15" width="2.625" style="1" customWidth="1"/>
    <col min="16" max="16" width="16" style="1" customWidth="1"/>
    <col min="17" max="17" width="8.875" style="1"/>
    <col min="18" max="18" width="25.125" style="2" bestFit="1" customWidth="1"/>
    <col min="19" max="19" width="8.875" style="3"/>
    <col min="20" max="16384" width="8.875" style="1"/>
  </cols>
  <sheetData>
    <row r="1" spans="1:18" ht="23.25" x14ac:dyDescent="0.15">
      <c r="A1" s="90" t="s">
        <v>9</v>
      </c>
    </row>
    <row r="2" spans="1:18" x14ac:dyDescent="0.15">
      <c r="A2" s="76" t="s">
        <v>55</v>
      </c>
    </row>
    <row r="3" spans="1:18" x14ac:dyDescent="0.15">
      <c r="A3" s="76" t="s">
        <v>56</v>
      </c>
      <c r="E3" s="4"/>
      <c r="L3" s="5"/>
      <c r="P3" s="6"/>
    </row>
    <row r="4" spans="1:18" x14ac:dyDescent="0.15">
      <c r="A4" s="76" t="s">
        <v>57</v>
      </c>
      <c r="J4" s="3"/>
      <c r="K4" s="3"/>
      <c r="L4" s="3"/>
      <c r="M4" s="3"/>
      <c r="P4" s="7"/>
    </row>
    <row r="6" spans="1:18" x14ac:dyDescent="0.15">
      <c r="A6" s="8"/>
      <c r="C6" s="8" t="s">
        <v>0</v>
      </c>
      <c r="D6" s="8"/>
      <c r="E6" s="8"/>
      <c r="N6" s="9" t="s">
        <v>11</v>
      </c>
      <c r="P6" s="9" t="s">
        <v>10</v>
      </c>
    </row>
    <row r="7" spans="1:18" x14ac:dyDescent="0.15">
      <c r="A7" s="10"/>
      <c r="B7" s="11">
        <v>2009.3</v>
      </c>
      <c r="C7" s="11">
        <v>2010.3</v>
      </c>
      <c r="D7" s="11">
        <v>2011.3</v>
      </c>
      <c r="E7" s="11">
        <v>2015.3</v>
      </c>
      <c r="F7" s="11">
        <v>2016.3</v>
      </c>
      <c r="G7" s="11">
        <v>2017.3</v>
      </c>
      <c r="H7" s="11">
        <v>2018.3</v>
      </c>
      <c r="I7" s="11">
        <v>2019.3</v>
      </c>
      <c r="J7" s="11">
        <v>2020.3</v>
      </c>
      <c r="K7" s="11">
        <v>2021.3</v>
      </c>
      <c r="L7" s="11">
        <v>2022.3</v>
      </c>
      <c r="M7" s="11">
        <v>2023.3</v>
      </c>
      <c r="N7" s="11">
        <v>2024.3</v>
      </c>
      <c r="O7" s="12"/>
      <c r="P7" s="11">
        <v>2024.3</v>
      </c>
    </row>
    <row r="8" spans="1:18" x14ac:dyDescent="0.15">
      <c r="A8" s="13"/>
      <c r="B8" s="14" t="s">
        <v>1</v>
      </c>
      <c r="C8" s="14" t="s">
        <v>1</v>
      </c>
      <c r="D8" s="14" t="s">
        <v>1</v>
      </c>
      <c r="E8" s="14" t="s">
        <v>2</v>
      </c>
      <c r="F8" s="14" t="s">
        <v>2</v>
      </c>
      <c r="G8" s="14" t="s">
        <v>2</v>
      </c>
      <c r="H8" s="14" t="s">
        <v>2</v>
      </c>
      <c r="I8" s="14" t="s">
        <v>2</v>
      </c>
      <c r="J8" s="14" t="s">
        <v>2</v>
      </c>
      <c r="K8" s="14" t="s">
        <v>2</v>
      </c>
      <c r="L8" s="14" t="s">
        <v>2</v>
      </c>
      <c r="M8" s="14" t="s">
        <v>2</v>
      </c>
      <c r="N8" s="14" t="s">
        <v>2</v>
      </c>
      <c r="O8" s="12"/>
      <c r="P8" s="14" t="s">
        <v>2</v>
      </c>
    </row>
    <row r="9" spans="1:18" ht="15.75" x14ac:dyDescent="0.15">
      <c r="A9" s="73" t="s">
        <v>12</v>
      </c>
      <c r="B9" s="16"/>
      <c r="C9" s="16"/>
      <c r="D9" s="16"/>
      <c r="E9" s="16"/>
      <c r="F9" s="16"/>
      <c r="G9" s="16"/>
      <c r="H9" s="16"/>
      <c r="I9" s="16"/>
      <c r="J9" s="16"/>
      <c r="K9" s="16"/>
      <c r="L9" s="16"/>
      <c r="M9" s="16"/>
      <c r="N9" s="16"/>
      <c r="O9" s="17"/>
      <c r="P9" s="16"/>
    </row>
    <row r="10" spans="1:18" ht="17.25" customHeight="1" x14ac:dyDescent="0.15">
      <c r="A10" s="66" t="s">
        <v>13</v>
      </c>
      <c r="B10" s="16">
        <v>6156365</v>
      </c>
      <c r="C10" s="16">
        <v>4540793</v>
      </c>
      <c r="D10" s="16">
        <v>5206873</v>
      </c>
      <c r="E10" s="16">
        <v>7669489</v>
      </c>
      <c r="F10" s="16">
        <v>6925582</v>
      </c>
      <c r="G10" s="16">
        <v>6425761</v>
      </c>
      <c r="H10" s="16">
        <v>7567394</v>
      </c>
      <c r="I10" s="16">
        <v>16103763</v>
      </c>
      <c r="J10" s="16">
        <v>14779734</v>
      </c>
      <c r="K10" s="16">
        <v>12884521</v>
      </c>
      <c r="L10" s="16">
        <v>17264828</v>
      </c>
      <c r="M10" s="16">
        <v>21571973</v>
      </c>
      <c r="N10" s="19">
        <v>19567601</v>
      </c>
      <c r="O10" s="17"/>
      <c r="P10" s="20">
        <v>129587</v>
      </c>
      <c r="R10" s="21"/>
    </row>
    <row r="11" spans="1:18" ht="17.25" customHeight="1" x14ac:dyDescent="0.15">
      <c r="A11" s="66" t="s">
        <v>14</v>
      </c>
      <c r="B11" s="16">
        <v>1465027</v>
      </c>
      <c r="C11" s="16">
        <v>1016597</v>
      </c>
      <c r="D11" s="16">
        <v>1149902</v>
      </c>
      <c r="E11" s="16">
        <v>1209894</v>
      </c>
      <c r="F11" s="16">
        <v>1098877</v>
      </c>
      <c r="G11" s="16">
        <v>1328638</v>
      </c>
      <c r="H11" s="16">
        <v>1886640</v>
      </c>
      <c r="I11" s="16">
        <v>1987811</v>
      </c>
      <c r="J11" s="16">
        <v>1789131</v>
      </c>
      <c r="K11" s="16">
        <v>1605106</v>
      </c>
      <c r="L11" s="16">
        <v>2150764</v>
      </c>
      <c r="M11" s="16">
        <v>2559962</v>
      </c>
      <c r="N11" s="19">
        <v>2359709</v>
      </c>
      <c r="O11" s="17"/>
      <c r="P11" s="20">
        <v>15627</v>
      </c>
      <c r="R11" s="22"/>
    </row>
    <row r="12" spans="1:18" ht="17.25" customHeight="1" x14ac:dyDescent="0.15">
      <c r="A12" s="66" t="s">
        <v>15</v>
      </c>
      <c r="B12" s="16">
        <v>163256</v>
      </c>
      <c r="C12" s="16">
        <v>117857</v>
      </c>
      <c r="D12" s="16">
        <v>167002</v>
      </c>
      <c r="E12" s="16">
        <v>203818</v>
      </c>
      <c r="F12" s="16">
        <v>-175389</v>
      </c>
      <c r="G12" s="16">
        <v>117450</v>
      </c>
      <c r="H12" s="16">
        <v>211432</v>
      </c>
      <c r="I12" s="16">
        <v>137269</v>
      </c>
      <c r="J12" s="16">
        <v>179325</v>
      </c>
      <c r="K12" s="16">
        <v>97086</v>
      </c>
      <c r="L12" s="16">
        <v>393803</v>
      </c>
      <c r="M12" s="16">
        <v>500180</v>
      </c>
      <c r="N12" s="19">
        <v>444385</v>
      </c>
      <c r="O12" s="17"/>
      <c r="P12" s="20">
        <v>2943</v>
      </c>
      <c r="R12" s="22"/>
    </row>
    <row r="13" spans="1:18" ht="17.25" customHeight="1" x14ac:dyDescent="0.15">
      <c r="A13" s="18" t="s">
        <v>16</v>
      </c>
      <c r="B13" s="16">
        <v>370987</v>
      </c>
      <c r="C13" s="16">
        <v>275787</v>
      </c>
      <c r="D13" s="16">
        <v>464543</v>
      </c>
      <c r="E13" s="16">
        <v>400574</v>
      </c>
      <c r="F13" s="16">
        <v>-149395</v>
      </c>
      <c r="G13" s="16">
        <v>440293</v>
      </c>
      <c r="H13" s="16">
        <v>560173</v>
      </c>
      <c r="I13" s="16">
        <v>590737</v>
      </c>
      <c r="J13" s="16">
        <v>535353</v>
      </c>
      <c r="K13" s="16">
        <v>172550</v>
      </c>
      <c r="L13" s="16">
        <v>937529</v>
      </c>
      <c r="M13" s="16">
        <v>1180694</v>
      </c>
      <c r="N13" s="19">
        <v>964034</v>
      </c>
      <c r="O13" s="17"/>
      <c r="P13" s="20">
        <v>6384</v>
      </c>
      <c r="R13" s="22"/>
    </row>
    <row r="14" spans="1:18" x14ac:dyDescent="0.15">
      <c r="A14" s="18"/>
      <c r="B14" s="16"/>
      <c r="C14" s="16"/>
      <c r="D14" s="16"/>
      <c r="E14" s="16"/>
      <c r="F14" s="16"/>
      <c r="G14" s="16"/>
      <c r="H14" s="16"/>
      <c r="I14" s="16"/>
      <c r="J14" s="16"/>
      <c r="K14" s="16"/>
      <c r="L14" s="16"/>
      <c r="M14" s="16"/>
      <c r="N14" s="16"/>
      <c r="O14" s="17"/>
      <c r="P14" s="20"/>
    </row>
    <row r="15" spans="1:18" x14ac:dyDescent="0.15">
      <c r="A15" s="15" t="s">
        <v>17</v>
      </c>
      <c r="B15" s="16"/>
      <c r="C15" s="16"/>
      <c r="D15" s="16"/>
      <c r="E15" s="16"/>
      <c r="F15" s="16"/>
      <c r="G15" s="16"/>
      <c r="H15" s="16"/>
      <c r="I15" s="16"/>
      <c r="J15" s="16"/>
      <c r="K15" s="16"/>
      <c r="L15" s="16"/>
      <c r="M15" s="16"/>
      <c r="N15" s="16"/>
      <c r="O15" s="17"/>
      <c r="P15" s="20"/>
    </row>
    <row r="16" spans="1:18" ht="17.25" customHeight="1" x14ac:dyDescent="0.15">
      <c r="A16" s="85" t="s">
        <v>18</v>
      </c>
      <c r="B16" s="16">
        <v>10837537</v>
      </c>
      <c r="C16" s="16">
        <v>10803702</v>
      </c>
      <c r="D16" s="16">
        <v>11272775</v>
      </c>
      <c r="E16" s="16">
        <v>16774366</v>
      </c>
      <c r="F16" s="16">
        <v>14916256</v>
      </c>
      <c r="G16" s="16">
        <v>15753557</v>
      </c>
      <c r="H16" s="16">
        <v>16036989</v>
      </c>
      <c r="I16" s="16">
        <v>16532800</v>
      </c>
      <c r="J16" s="16">
        <v>18033424</v>
      </c>
      <c r="K16" s="16">
        <v>18634971</v>
      </c>
      <c r="L16" s="16">
        <v>21912012</v>
      </c>
      <c r="M16" s="16">
        <v>22147501</v>
      </c>
      <c r="N16" s="19">
        <v>23459572</v>
      </c>
      <c r="O16" s="17"/>
      <c r="P16" s="23">
        <v>155361</v>
      </c>
      <c r="R16" s="22"/>
    </row>
    <row r="17" spans="1:52" ht="17.25" customHeight="1" x14ac:dyDescent="0.15">
      <c r="A17" s="85" t="s">
        <v>19</v>
      </c>
      <c r="B17" s="24">
        <v>3467766</v>
      </c>
      <c r="C17" s="16">
        <v>3246029</v>
      </c>
      <c r="D17" s="16">
        <v>3188749</v>
      </c>
      <c r="E17" s="16">
        <v>4835117</v>
      </c>
      <c r="F17" s="16">
        <v>4560258</v>
      </c>
      <c r="G17" s="16">
        <v>4135680</v>
      </c>
      <c r="H17" s="16">
        <v>3684860</v>
      </c>
      <c r="I17" s="16">
        <v>3569221</v>
      </c>
      <c r="J17" s="16">
        <v>4287354</v>
      </c>
      <c r="K17" s="16">
        <v>4381793</v>
      </c>
      <c r="L17" s="16">
        <v>4039749</v>
      </c>
      <c r="M17" s="16">
        <v>3493991</v>
      </c>
      <c r="N17" s="16">
        <v>3394268</v>
      </c>
      <c r="O17" s="17"/>
      <c r="P17" s="23">
        <v>22479</v>
      </c>
      <c r="R17" s="22"/>
      <c r="S17" s="25"/>
    </row>
    <row r="18" spans="1:52" ht="17.25" customHeight="1" x14ac:dyDescent="0.15">
      <c r="A18" s="85" t="s">
        <v>20</v>
      </c>
      <c r="B18" s="16">
        <v>2359397</v>
      </c>
      <c r="C18" s="16">
        <v>2926094</v>
      </c>
      <c r="D18" s="16">
        <v>3233342</v>
      </c>
      <c r="E18" s="16">
        <v>5570477</v>
      </c>
      <c r="F18" s="16">
        <v>4592516</v>
      </c>
      <c r="G18" s="16">
        <v>4917247</v>
      </c>
      <c r="H18" s="16">
        <v>5332427</v>
      </c>
      <c r="I18" s="16">
        <v>5696246</v>
      </c>
      <c r="J18" s="16">
        <v>5227359</v>
      </c>
      <c r="K18" s="16">
        <v>5613647</v>
      </c>
      <c r="L18" s="16">
        <v>6880232</v>
      </c>
      <c r="M18" s="16">
        <v>8065640</v>
      </c>
      <c r="N18" s="19">
        <v>9043867</v>
      </c>
      <c r="O18" s="17"/>
      <c r="P18" s="23">
        <v>59893</v>
      </c>
      <c r="R18" s="22"/>
      <c r="S18" s="25"/>
    </row>
    <row r="19" spans="1:52" ht="17.25" customHeight="1" x14ac:dyDescent="0.15">
      <c r="A19" s="85" t="s">
        <v>21</v>
      </c>
      <c r="B19" s="16">
        <v>4879397</v>
      </c>
      <c r="C19" s="16">
        <v>4154692</v>
      </c>
      <c r="D19" s="16">
        <v>4257563</v>
      </c>
      <c r="E19" s="16">
        <v>6348993</v>
      </c>
      <c r="F19" s="16">
        <v>6042606</v>
      </c>
      <c r="G19" s="16">
        <v>5383911</v>
      </c>
      <c r="H19" s="16">
        <v>4954395</v>
      </c>
      <c r="I19" s="16">
        <v>5092099</v>
      </c>
      <c r="J19" s="16">
        <v>5760123</v>
      </c>
      <c r="K19" s="26">
        <v>5644315</v>
      </c>
      <c r="L19" s="26">
        <v>5643169</v>
      </c>
      <c r="M19" s="26">
        <v>4889881</v>
      </c>
      <c r="N19" s="27">
        <f>1733684+3394268</f>
        <v>5127952</v>
      </c>
      <c r="O19" s="17"/>
      <c r="P19" s="28">
        <f>11481+22479</f>
        <v>33960</v>
      </c>
      <c r="R19" s="22"/>
      <c r="S19" s="25"/>
    </row>
    <row r="20" spans="1:52" ht="17.25" customHeight="1" x14ac:dyDescent="0.15">
      <c r="A20" s="85" t="s">
        <v>22</v>
      </c>
      <c r="B20" s="16">
        <v>3567633</v>
      </c>
      <c r="C20" s="16">
        <v>2968151</v>
      </c>
      <c r="D20" s="16">
        <v>2947308</v>
      </c>
      <c r="E20" s="16">
        <v>4467714</v>
      </c>
      <c r="F20" s="16">
        <v>4315460</v>
      </c>
      <c r="G20" s="16">
        <v>3991475</v>
      </c>
      <c r="H20" s="16">
        <v>3714176</v>
      </c>
      <c r="I20" s="16">
        <v>3723568</v>
      </c>
      <c r="J20" s="16">
        <v>4336295</v>
      </c>
      <c r="K20" s="16">
        <v>4178410</v>
      </c>
      <c r="L20" s="16">
        <v>3939721</v>
      </c>
      <c r="M20" s="16">
        <v>3237591</v>
      </c>
      <c r="N20" s="27">
        <f>N19-1251550-94113</f>
        <v>3782289</v>
      </c>
      <c r="O20" s="17"/>
      <c r="P20" s="23">
        <f>P19-8288-623</f>
        <v>25049</v>
      </c>
      <c r="R20" s="22"/>
      <c r="S20" s="25"/>
    </row>
    <row r="21" spans="1:52" x14ac:dyDescent="0.15">
      <c r="A21" s="18"/>
      <c r="B21" s="16"/>
      <c r="C21" s="16"/>
      <c r="D21" s="16"/>
      <c r="E21" s="16"/>
      <c r="F21" s="16"/>
      <c r="G21" s="16"/>
      <c r="H21" s="16"/>
      <c r="I21" s="16"/>
      <c r="J21" s="16"/>
      <c r="K21" s="16"/>
      <c r="L21" s="16"/>
      <c r="M21" s="16"/>
      <c r="N21" s="16"/>
      <c r="O21" s="17"/>
      <c r="P21" s="29"/>
      <c r="S21" s="25"/>
    </row>
    <row r="22" spans="1:52" ht="18" x14ac:dyDescent="0.15">
      <c r="A22" s="86" t="s">
        <v>28</v>
      </c>
      <c r="B22" s="30"/>
      <c r="C22" s="30"/>
      <c r="D22" s="30"/>
      <c r="E22" s="30"/>
      <c r="F22" s="30"/>
      <c r="G22" s="30"/>
      <c r="H22" s="30"/>
      <c r="I22" s="30"/>
      <c r="J22" s="30"/>
      <c r="K22" s="30"/>
      <c r="L22" s="30"/>
      <c r="M22" s="30"/>
      <c r="N22" s="30"/>
      <c r="O22" s="31"/>
      <c r="P22" s="29"/>
      <c r="S22" s="25"/>
    </row>
    <row r="23" spans="1:52" ht="17.25" customHeight="1" x14ac:dyDescent="0.15">
      <c r="A23" s="85" t="s">
        <v>23</v>
      </c>
      <c r="B23" s="16">
        <v>558226</v>
      </c>
      <c r="C23" s="32">
        <v>761573</v>
      </c>
      <c r="D23" s="16">
        <v>331204</v>
      </c>
      <c r="E23" s="16">
        <v>798264</v>
      </c>
      <c r="F23" s="16">
        <v>700105</v>
      </c>
      <c r="G23" s="16">
        <v>583004</v>
      </c>
      <c r="H23" s="16">
        <v>742482</v>
      </c>
      <c r="I23" s="16">
        <v>652681</v>
      </c>
      <c r="J23" s="16">
        <v>849728</v>
      </c>
      <c r="K23" s="16">
        <v>1017550</v>
      </c>
      <c r="L23" s="16">
        <v>1055844</v>
      </c>
      <c r="M23" s="16">
        <v>1930138</v>
      </c>
      <c r="N23" s="16">
        <v>1347380</v>
      </c>
      <c r="O23" s="17"/>
      <c r="P23" s="33">
        <v>8923</v>
      </c>
      <c r="R23" s="34"/>
      <c r="S23" s="25"/>
    </row>
    <row r="24" spans="1:52" ht="17.25" customHeight="1" x14ac:dyDescent="0.15">
      <c r="A24" s="85" t="s">
        <v>24</v>
      </c>
      <c r="B24" s="32">
        <v>-693550</v>
      </c>
      <c r="C24" s="32">
        <v>-138502</v>
      </c>
      <c r="D24" s="16">
        <v>-262601</v>
      </c>
      <c r="E24" s="67">
        <v>-154852</v>
      </c>
      <c r="F24" s="67">
        <v>-503854</v>
      </c>
      <c r="G24" s="67">
        <v>-179585</v>
      </c>
      <c r="H24" s="67">
        <v>-317583</v>
      </c>
      <c r="I24" s="67">
        <v>-273687</v>
      </c>
      <c r="J24" s="67">
        <v>-500727</v>
      </c>
      <c r="K24" s="67">
        <v>-357297</v>
      </c>
      <c r="L24" s="67">
        <v>-167550</v>
      </c>
      <c r="M24" s="68" t="s">
        <v>3</v>
      </c>
      <c r="N24" s="68">
        <v>-205761</v>
      </c>
      <c r="O24" s="17"/>
      <c r="P24" s="35">
        <v>-1363</v>
      </c>
      <c r="R24" s="34"/>
      <c r="S24" s="25"/>
    </row>
    <row r="25" spans="1:52" ht="17.25" customHeight="1" x14ac:dyDescent="0.15">
      <c r="A25" s="85" t="s">
        <v>25</v>
      </c>
      <c r="B25" s="32">
        <v>-135324</v>
      </c>
      <c r="C25" s="32">
        <v>623071</v>
      </c>
      <c r="D25" s="16">
        <v>68603</v>
      </c>
      <c r="E25" s="67">
        <v>643412</v>
      </c>
      <c r="F25" s="67">
        <v>196251</v>
      </c>
      <c r="G25" s="67">
        <v>403419</v>
      </c>
      <c r="H25" s="67">
        <v>424899</v>
      </c>
      <c r="I25" s="67">
        <v>378994</v>
      </c>
      <c r="J25" s="67">
        <v>349001</v>
      </c>
      <c r="K25" s="67">
        <v>660253</v>
      </c>
      <c r="L25" s="67">
        <v>888294</v>
      </c>
      <c r="M25" s="68">
        <v>1752672</v>
      </c>
      <c r="N25" s="68">
        <f>N23+N24</f>
        <v>1141619</v>
      </c>
      <c r="O25" s="17"/>
      <c r="P25" s="33">
        <f>P23+P24</f>
        <v>7560</v>
      </c>
      <c r="R25" s="36"/>
    </row>
    <row r="26" spans="1:52" ht="17.25" customHeight="1" x14ac:dyDescent="0.15">
      <c r="A26" s="85" t="s">
        <v>26</v>
      </c>
      <c r="B26" s="16">
        <v>650608</v>
      </c>
      <c r="C26" s="32">
        <v>-755347</v>
      </c>
      <c r="D26" s="16">
        <v>76749</v>
      </c>
      <c r="E26" s="67">
        <v>-305334</v>
      </c>
      <c r="F26" s="67">
        <v>-364528</v>
      </c>
      <c r="G26" s="67">
        <v>-752162</v>
      </c>
      <c r="H26" s="67">
        <v>-554328</v>
      </c>
      <c r="I26" s="67">
        <v>-227480</v>
      </c>
      <c r="J26" s="67">
        <v>-156629</v>
      </c>
      <c r="K26" s="67">
        <v>-691184</v>
      </c>
      <c r="L26" s="67">
        <v>-693396</v>
      </c>
      <c r="M26" s="68" t="s">
        <v>4</v>
      </c>
      <c r="N26" s="68">
        <v>-1086233</v>
      </c>
      <c r="O26" s="17"/>
      <c r="P26" s="35">
        <v>-7194</v>
      </c>
      <c r="R26" s="36"/>
    </row>
    <row r="27" spans="1:52" ht="17.25" customHeight="1" x14ac:dyDescent="0.15">
      <c r="A27" s="85" t="s">
        <v>27</v>
      </c>
      <c r="B27" s="16">
        <v>515284</v>
      </c>
      <c r="C27" s="32">
        <v>-132276</v>
      </c>
      <c r="D27" s="16">
        <v>145352</v>
      </c>
      <c r="E27" s="67">
        <v>338078</v>
      </c>
      <c r="F27" s="67">
        <v>-168277</v>
      </c>
      <c r="G27" s="67">
        <v>-348743</v>
      </c>
      <c r="H27" s="67">
        <v>-129429</v>
      </c>
      <c r="I27" s="67">
        <v>151514</v>
      </c>
      <c r="J27" s="67">
        <v>192372</v>
      </c>
      <c r="K27" s="67">
        <v>-30931</v>
      </c>
      <c r="L27" s="67">
        <v>194898</v>
      </c>
      <c r="M27" s="68" t="s">
        <v>5</v>
      </c>
      <c r="N27" s="68">
        <f>N25+N26</f>
        <v>55386</v>
      </c>
      <c r="O27" s="17"/>
      <c r="P27" s="33">
        <f>P25+P26</f>
        <v>366</v>
      </c>
    </row>
    <row r="28" spans="1:52" x14ac:dyDescent="0.15">
      <c r="A28" s="18"/>
      <c r="B28" s="16"/>
      <c r="C28" s="16"/>
      <c r="D28" s="16"/>
      <c r="E28" s="67"/>
      <c r="F28" s="67"/>
      <c r="G28" s="67"/>
      <c r="H28" s="67"/>
      <c r="I28" s="67"/>
      <c r="J28" s="67"/>
      <c r="K28" s="67"/>
      <c r="L28" s="67"/>
      <c r="M28" s="68"/>
      <c r="N28" s="68"/>
      <c r="O28" s="17"/>
      <c r="P28" s="37"/>
    </row>
    <row r="29" spans="1:52" ht="18" x14ac:dyDescent="0.15">
      <c r="A29" s="86" t="s">
        <v>29</v>
      </c>
      <c r="B29" s="16"/>
      <c r="C29" s="16"/>
      <c r="D29" s="16"/>
      <c r="E29" s="67"/>
      <c r="F29" s="67"/>
      <c r="G29" s="67"/>
      <c r="H29" s="67"/>
      <c r="I29" s="67"/>
      <c r="J29" s="67"/>
      <c r="K29" s="67"/>
      <c r="L29" s="67"/>
      <c r="M29" s="67"/>
      <c r="N29" s="67"/>
      <c r="O29" s="17"/>
      <c r="P29" s="38"/>
    </row>
    <row r="30" spans="1:52" s="3" customFormat="1" ht="18" x14ac:dyDescent="0.15">
      <c r="A30" s="85" t="s">
        <v>30</v>
      </c>
      <c r="B30" s="39"/>
      <c r="C30" s="39"/>
      <c r="D30" s="39"/>
      <c r="E30" s="69"/>
      <c r="F30" s="69"/>
      <c r="G30" s="69"/>
      <c r="H30" s="69"/>
      <c r="I30" s="69"/>
      <c r="J30" s="69"/>
      <c r="K30" s="69"/>
      <c r="L30" s="69"/>
      <c r="M30" s="69"/>
      <c r="N30" s="69"/>
      <c r="O30" s="40"/>
      <c r="P30" s="39"/>
      <c r="Q30" s="1"/>
      <c r="R30" s="2"/>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s="3" customFormat="1" ht="17.25" customHeight="1" x14ac:dyDescent="0.15">
      <c r="A31" s="85" t="s">
        <v>35</v>
      </c>
      <c r="B31" s="41">
        <v>225.88</v>
      </c>
      <c r="C31" s="41">
        <v>167.85</v>
      </c>
      <c r="D31" s="41">
        <v>282.62</v>
      </c>
      <c r="E31" s="67">
        <f>246.39/3</f>
        <v>82.13</v>
      </c>
      <c r="F31" s="67">
        <f>-93.68/3</f>
        <v>-31.22666666666667</v>
      </c>
      <c r="G31" s="67">
        <f>277.79/3</f>
        <v>92.596666666666678</v>
      </c>
      <c r="H31" s="67">
        <f>353.27/3</f>
        <v>117.75666666666666</v>
      </c>
      <c r="I31" s="67">
        <f>372.39/3</f>
        <v>124.13</v>
      </c>
      <c r="J31" s="67">
        <v>116.17</v>
      </c>
      <c r="K31" s="67">
        <v>38.950000000000003</v>
      </c>
      <c r="L31" s="67">
        <v>211.69</v>
      </c>
      <c r="M31" s="67">
        <v>269.76</v>
      </c>
      <c r="N31" s="67">
        <v>230.1</v>
      </c>
      <c r="O31" s="42"/>
      <c r="P31" s="43">
        <v>1.52</v>
      </c>
      <c r="Q31" s="1"/>
      <c r="R31" s="44"/>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s="3" customFormat="1" ht="17.25" customHeight="1" x14ac:dyDescent="0.15">
      <c r="A32" s="85" t="s">
        <v>34</v>
      </c>
      <c r="B32" s="41">
        <v>225.38</v>
      </c>
      <c r="C32" s="41">
        <v>167.46</v>
      </c>
      <c r="D32" s="41">
        <v>281.87</v>
      </c>
      <c r="E32" s="67">
        <f>245.83/3</f>
        <v>81.943333333333342</v>
      </c>
      <c r="F32" s="67">
        <f>-93.68/3</f>
        <v>-31.22666666666667</v>
      </c>
      <c r="G32" s="67">
        <f>277.16/3</f>
        <v>92.38666666666667</v>
      </c>
      <c r="H32" s="67">
        <f>352.44/3</f>
        <v>117.48</v>
      </c>
      <c r="I32" s="67">
        <f>371.55/3</f>
        <v>123.85000000000001</v>
      </c>
      <c r="J32" s="67">
        <v>115.9</v>
      </c>
      <c r="K32" s="67">
        <v>38.86</v>
      </c>
      <c r="L32" s="67">
        <v>208.58</v>
      </c>
      <c r="M32" s="67">
        <v>268.56</v>
      </c>
      <c r="N32" s="67">
        <v>222.37</v>
      </c>
      <c r="O32" s="42"/>
      <c r="P32" s="45">
        <v>1.47</v>
      </c>
      <c r="Q32" s="1"/>
      <c r="R32" s="44"/>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s="3" customFormat="1" ht="17.25" customHeight="1" x14ac:dyDescent="0.15">
      <c r="A33" s="85" t="s">
        <v>31</v>
      </c>
      <c r="B33" s="41">
        <v>52</v>
      </c>
      <c r="C33" s="41">
        <v>38</v>
      </c>
      <c r="D33" s="41">
        <v>65</v>
      </c>
      <c r="E33" s="67">
        <f>70/3</f>
        <v>23.333333333333332</v>
      </c>
      <c r="F33" s="67">
        <f>50/3</f>
        <v>16.666666666666668</v>
      </c>
      <c r="G33" s="67">
        <f>80/3</f>
        <v>26.666666666666668</v>
      </c>
      <c r="H33" s="67">
        <f>110/3</f>
        <v>36.666666666666664</v>
      </c>
      <c r="I33" s="67">
        <f>125/3</f>
        <v>41.666666666666664</v>
      </c>
      <c r="J33" s="67">
        <f>132/3</f>
        <v>44</v>
      </c>
      <c r="K33" s="67">
        <f>134/3</f>
        <v>44.666666666666664</v>
      </c>
      <c r="L33" s="67">
        <f>150/3</f>
        <v>50</v>
      </c>
      <c r="M33" s="67">
        <v>60</v>
      </c>
      <c r="N33" s="67">
        <v>70</v>
      </c>
      <c r="O33" s="42"/>
      <c r="P33" s="45">
        <v>0.46</v>
      </c>
      <c r="Q33" s="1"/>
      <c r="R33" s="44"/>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s="3" customFormat="1" ht="17.25" customHeight="1" x14ac:dyDescent="0.15">
      <c r="A34" s="85" t="s">
        <v>32</v>
      </c>
      <c r="B34" s="41">
        <v>1436.11</v>
      </c>
      <c r="C34" s="41">
        <v>1780.37</v>
      </c>
      <c r="D34" s="41">
        <v>1966.66</v>
      </c>
      <c r="E34" s="67">
        <f>3437.75/3</f>
        <v>1145.9166666666667</v>
      </c>
      <c r="F34" s="67">
        <f>2898.23/3</f>
        <v>966.07666666666671</v>
      </c>
      <c r="G34" s="67">
        <f>3101.43/3</f>
        <v>1033.81</v>
      </c>
      <c r="H34" s="67">
        <f>3362.34/3</f>
        <v>1120.78</v>
      </c>
      <c r="I34" s="67">
        <f>3589.37/3</f>
        <v>1196.4566666666667</v>
      </c>
      <c r="J34" s="67">
        <f>3521.3/3</f>
        <v>1173.7666666666667</v>
      </c>
      <c r="K34" s="67">
        <f>3803.01/3</f>
        <v>1267.67</v>
      </c>
      <c r="L34" s="67">
        <f>4659.68/3</f>
        <v>1553.2266666666667</v>
      </c>
      <c r="M34" s="67">
        <v>1881.69</v>
      </c>
      <c r="N34" s="67">
        <v>2206.9699999999998</v>
      </c>
      <c r="O34" s="42"/>
      <c r="P34" s="46" t="s">
        <v>7</v>
      </c>
      <c r="Q34" s="1"/>
      <c r="R34" s="22"/>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s="3" customFormat="1" ht="17.25" customHeight="1" x14ac:dyDescent="0.15">
      <c r="A35" s="85" t="s">
        <v>33</v>
      </c>
      <c r="B35" s="16">
        <v>23</v>
      </c>
      <c r="C35" s="16">
        <v>23</v>
      </c>
      <c r="D35" s="16">
        <v>23</v>
      </c>
      <c r="E35" s="68">
        <v>28.4</v>
      </c>
      <c r="F35" s="70" t="s">
        <v>6</v>
      </c>
      <c r="G35" s="68">
        <v>28.8</v>
      </c>
      <c r="H35" s="68">
        <v>31.1</v>
      </c>
      <c r="I35" s="68">
        <v>33.6</v>
      </c>
      <c r="J35" s="68">
        <v>37.9</v>
      </c>
      <c r="K35" s="68">
        <v>114.7</v>
      </c>
      <c r="L35" s="68">
        <v>23.6</v>
      </c>
      <c r="M35" s="68">
        <v>22.2</v>
      </c>
      <c r="N35" s="68">
        <v>30.4</v>
      </c>
      <c r="O35" s="31"/>
      <c r="P35" s="47" t="s">
        <v>7</v>
      </c>
      <c r="Q35" s="1"/>
      <c r="R35" s="2"/>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s="3" customFormat="1" x14ac:dyDescent="0.15">
      <c r="A36" s="48"/>
      <c r="B36" s="49"/>
      <c r="C36" s="49"/>
      <c r="D36" s="49"/>
      <c r="E36" s="71"/>
      <c r="F36" s="71"/>
      <c r="G36" s="71"/>
      <c r="H36" s="71"/>
      <c r="I36" s="71"/>
      <c r="J36" s="71"/>
      <c r="K36" s="71"/>
      <c r="L36" s="71"/>
      <c r="M36" s="71"/>
      <c r="N36" s="71"/>
      <c r="O36" s="50"/>
      <c r="P36" s="51"/>
      <c r="Q36" s="1"/>
      <c r="R36" s="2"/>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s="3" customFormat="1" ht="18" x14ac:dyDescent="0.15">
      <c r="A37" s="86" t="s">
        <v>36</v>
      </c>
      <c r="B37" s="39"/>
      <c r="C37" s="39"/>
      <c r="D37" s="39"/>
      <c r="E37" s="69"/>
      <c r="F37" s="69"/>
      <c r="G37" s="69"/>
      <c r="H37" s="69"/>
      <c r="I37" s="69"/>
      <c r="J37" s="69"/>
      <c r="K37" s="69"/>
      <c r="L37" s="69"/>
      <c r="M37" s="69"/>
      <c r="N37" s="69"/>
      <c r="O37" s="40"/>
      <c r="P37" s="39"/>
      <c r="Q37" s="1"/>
      <c r="R37" s="2"/>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s="3" customFormat="1" ht="17.25" customHeight="1" x14ac:dyDescent="0.15">
      <c r="A38" s="85" t="s">
        <v>37</v>
      </c>
      <c r="B38" s="52">
        <v>1642904</v>
      </c>
      <c r="C38" s="52">
        <v>1643532</v>
      </c>
      <c r="D38" s="52">
        <v>1644074</v>
      </c>
      <c r="E38" s="67">
        <f>1620384*3</f>
        <v>4861152</v>
      </c>
      <c r="F38" s="67">
        <f>1584595*3</f>
        <v>4753785</v>
      </c>
      <c r="G38" s="67">
        <f>1585480*3</f>
        <v>4756440</v>
      </c>
      <c r="H38" s="67">
        <f>1585929.249*3</f>
        <v>4757787.7470000004</v>
      </c>
      <c r="I38" s="67">
        <f>1586977.251*3</f>
        <v>4760931.7529999996</v>
      </c>
      <c r="J38" s="67">
        <f>1484497*3</f>
        <v>4453491</v>
      </c>
      <c r="K38" s="67">
        <f>1476105*3</f>
        <v>4428315</v>
      </c>
      <c r="L38" s="67">
        <f>1476545*3</f>
        <v>4429635</v>
      </c>
      <c r="M38" s="67">
        <f>4374907-88529</f>
        <v>4286378</v>
      </c>
      <c r="N38" s="67">
        <f>4179018-81159</f>
        <v>4097859</v>
      </c>
      <c r="O38" s="25"/>
      <c r="P38" s="53" t="s">
        <v>7</v>
      </c>
      <c r="Q38" s="1"/>
      <c r="R38" s="22"/>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s="3" customFormat="1" x14ac:dyDescent="0.15">
      <c r="A39" s="18"/>
      <c r="B39" s="52"/>
      <c r="C39" s="52"/>
      <c r="D39" s="52"/>
      <c r="E39" s="67"/>
      <c r="F39" s="67"/>
      <c r="G39" s="67"/>
      <c r="H39" s="67"/>
      <c r="I39" s="67"/>
      <c r="J39" s="67"/>
      <c r="K39" s="67"/>
      <c r="L39" s="67"/>
      <c r="M39" s="67"/>
      <c r="N39" s="67"/>
      <c r="O39" s="25"/>
      <c r="P39" s="54"/>
      <c r="Q39" s="1"/>
      <c r="R39" s="2"/>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s="3" customFormat="1" ht="17.25" customHeight="1" x14ac:dyDescent="0.15">
      <c r="A40" s="86" t="s">
        <v>38</v>
      </c>
      <c r="B40" s="52"/>
      <c r="C40" s="52"/>
      <c r="D40" s="52"/>
      <c r="E40" s="67"/>
      <c r="F40" s="67"/>
      <c r="G40" s="67"/>
      <c r="H40" s="67"/>
      <c r="I40" s="67"/>
      <c r="J40" s="67"/>
      <c r="K40" s="67"/>
      <c r="L40" s="67"/>
      <c r="M40" s="67"/>
      <c r="N40" s="67" t="s">
        <v>8</v>
      </c>
      <c r="O40" s="25"/>
      <c r="P40" s="54"/>
      <c r="Q40" s="1"/>
      <c r="R40" s="2"/>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s="3" customFormat="1" ht="17.25" customHeight="1" x14ac:dyDescent="0.15">
      <c r="A41" s="85" t="s">
        <v>39</v>
      </c>
      <c r="B41" s="55">
        <v>14.3</v>
      </c>
      <c r="C41" s="56">
        <v>10.435624618412936</v>
      </c>
      <c r="D41" s="56">
        <v>15.08394599765303</v>
      </c>
      <c r="E41" s="67">
        <v>7.5309008348543536</v>
      </c>
      <c r="F41" s="67">
        <v>-2.9399803778276734</v>
      </c>
      <c r="G41" s="67">
        <v>9.259810155100606</v>
      </c>
      <c r="H41" s="67">
        <v>10.9</v>
      </c>
      <c r="I41" s="67">
        <v>10.7</v>
      </c>
      <c r="J41" s="67">
        <v>9.8000000000000007</v>
      </c>
      <c r="K41" s="67">
        <v>3.2</v>
      </c>
      <c r="L41" s="67">
        <v>15</v>
      </c>
      <c r="M41" s="67">
        <v>15.8</v>
      </c>
      <c r="N41" s="67">
        <v>11.3</v>
      </c>
      <c r="O41" s="57"/>
      <c r="P41" s="58" t="s">
        <v>7</v>
      </c>
      <c r="Q41" s="1"/>
      <c r="R41" s="59"/>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s="3" customFormat="1" ht="17.25" customHeight="1" x14ac:dyDescent="0.15">
      <c r="A42" s="85" t="s">
        <v>40</v>
      </c>
      <c r="B42" s="55">
        <v>3.3</v>
      </c>
      <c r="C42" s="56">
        <v>2.5487172892457775</v>
      </c>
      <c r="D42" s="56">
        <v>4.2084885192506034</v>
      </c>
      <c r="E42" s="67">
        <v>3.5</v>
      </c>
      <c r="F42" s="67">
        <v>-0.6</v>
      </c>
      <c r="G42" s="67">
        <v>3.9</v>
      </c>
      <c r="H42" s="67">
        <v>5.0999999999999996</v>
      </c>
      <c r="I42" s="67">
        <v>5.2</v>
      </c>
      <c r="J42" s="67">
        <v>3.8</v>
      </c>
      <c r="K42" s="67">
        <v>1.4</v>
      </c>
      <c r="L42" s="67">
        <v>6.4</v>
      </c>
      <c r="M42" s="72">
        <v>7.5999999999999998E-2</v>
      </c>
      <c r="N42" s="72">
        <v>0.06</v>
      </c>
      <c r="O42" s="57"/>
      <c r="P42" s="58" t="s">
        <v>7</v>
      </c>
      <c r="Q42" s="1"/>
      <c r="R42" s="44"/>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s="3" customFormat="1" ht="17.25" customHeight="1" x14ac:dyDescent="0.15">
      <c r="A43" s="85" t="s">
        <v>41</v>
      </c>
      <c r="B43" s="55">
        <v>3.3</v>
      </c>
      <c r="C43" s="55">
        <v>2.3628314181962895</v>
      </c>
      <c r="D43" s="55">
        <v>3.4694144429054483</v>
      </c>
      <c r="E43" s="67">
        <v>2.1499497833157752</v>
      </c>
      <c r="F43" s="67">
        <v>1.5782878102519264</v>
      </c>
      <c r="G43" s="67">
        <v>2.6668177863412259</v>
      </c>
      <c r="H43" s="67">
        <v>3.4</v>
      </c>
      <c r="I43" s="67">
        <v>3.5962374725067643</v>
      </c>
      <c r="J43" s="67">
        <v>3.7127303053017506</v>
      </c>
      <c r="K43" s="67">
        <v>3.6590477464771425</v>
      </c>
      <c r="L43" s="67">
        <v>3.5</v>
      </c>
      <c r="M43" s="67">
        <v>3.5</v>
      </c>
      <c r="N43" s="67">
        <v>3.4</v>
      </c>
      <c r="O43" s="57"/>
      <c r="P43" s="58" t="s">
        <v>7</v>
      </c>
      <c r="Q43" s="1"/>
      <c r="R43" s="44"/>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s="3" customFormat="1" x14ac:dyDescent="0.15">
      <c r="A44" s="18"/>
      <c r="B44" s="52"/>
      <c r="C44" s="52"/>
      <c r="D44" s="52"/>
      <c r="E44" s="67"/>
      <c r="F44" s="67"/>
      <c r="G44" s="67"/>
      <c r="H44" s="67"/>
      <c r="I44" s="67"/>
      <c r="J44" s="67"/>
      <c r="K44" s="67"/>
      <c r="L44" s="67"/>
      <c r="M44" s="67"/>
      <c r="N44" s="67"/>
      <c r="O44" s="25"/>
      <c r="P44" s="54"/>
      <c r="Q44" s="1"/>
      <c r="R44" s="2"/>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s="3" customFormat="1" ht="17.25" customHeight="1" x14ac:dyDescent="0.15">
      <c r="A45" s="87" t="s">
        <v>42</v>
      </c>
      <c r="B45" s="74"/>
      <c r="C45" s="74"/>
      <c r="D45" s="74"/>
      <c r="E45" s="75"/>
      <c r="F45" s="75"/>
      <c r="G45" s="75"/>
      <c r="H45" s="75"/>
      <c r="I45" s="75"/>
      <c r="J45" s="75"/>
      <c r="K45" s="75"/>
      <c r="L45" s="75"/>
      <c r="M45" s="75"/>
      <c r="N45" s="75"/>
      <c r="O45" s="25"/>
      <c r="P45" s="60"/>
      <c r="Q45" s="1"/>
      <c r="R45" s="2"/>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s="3" customFormat="1" ht="17.25" customHeight="1" x14ac:dyDescent="0.15">
      <c r="A46" s="88" t="s">
        <v>43</v>
      </c>
      <c r="B46" s="74">
        <v>2299</v>
      </c>
      <c r="C46" s="74">
        <v>1969</v>
      </c>
      <c r="D46" s="74">
        <v>2102</v>
      </c>
      <c r="E46" s="77">
        <f>2522.5/3</f>
        <v>840.83333333333337</v>
      </c>
      <c r="F46" s="77">
        <f>2837/3</f>
        <v>945.66666666666663</v>
      </c>
      <c r="G46" s="77">
        <f>2705.5/3</f>
        <v>901.83333333333337</v>
      </c>
      <c r="H46" s="77">
        <f>3318/3</f>
        <v>1106</v>
      </c>
      <c r="I46" s="77">
        <f>3638/3</f>
        <v>1212.6666666666667</v>
      </c>
      <c r="J46" s="77">
        <v>1059.33</v>
      </c>
      <c r="K46" s="77">
        <v>1099.33</v>
      </c>
      <c r="L46" s="77">
        <v>1583</v>
      </c>
      <c r="M46" s="77">
        <v>1708.33</v>
      </c>
      <c r="N46" s="77">
        <v>3616</v>
      </c>
      <c r="O46" s="25"/>
      <c r="P46" s="61" t="s">
        <v>7</v>
      </c>
      <c r="Q46" s="2"/>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s="3" customFormat="1" ht="17.25" customHeight="1" x14ac:dyDescent="0.15">
      <c r="A47" s="88" t="s">
        <v>44</v>
      </c>
      <c r="B47" s="74"/>
      <c r="C47" s="74"/>
      <c r="D47" s="74"/>
      <c r="E47" s="77">
        <f>1805/3</f>
        <v>601.66666666666663</v>
      </c>
      <c r="F47" s="77">
        <f>1565.5/3</f>
        <v>521.83333333333337</v>
      </c>
      <c r="G47" s="77">
        <f>1679.5/3</f>
        <v>559.83333333333337</v>
      </c>
      <c r="H47" s="77">
        <f>2208.5/3</f>
        <v>736.16666666666663</v>
      </c>
      <c r="I47" s="77">
        <f>2776/3</f>
        <v>925.33333333333337</v>
      </c>
      <c r="J47" s="77">
        <v>716.17</v>
      </c>
      <c r="K47" s="77">
        <v>716.17</v>
      </c>
      <c r="L47" s="77">
        <v>956.33</v>
      </c>
      <c r="M47" s="77">
        <v>1246.67</v>
      </c>
      <c r="N47" s="77">
        <v>2219</v>
      </c>
      <c r="O47" s="25"/>
      <c r="P47" s="62"/>
      <c r="Q47" s="2"/>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s="3" customFormat="1" ht="17.25" customHeight="1" x14ac:dyDescent="0.15">
      <c r="A48" s="88" t="s">
        <v>45</v>
      </c>
      <c r="B48" s="78">
        <v>10.51</v>
      </c>
      <c r="C48" s="78">
        <v>12.11</v>
      </c>
      <c r="D48" s="78">
        <v>7.68</v>
      </c>
      <c r="E48" s="77">
        <v>9.82</v>
      </c>
      <c r="F48" s="77" t="s">
        <v>7</v>
      </c>
      <c r="G48" s="77">
        <v>8.66</v>
      </c>
      <c r="H48" s="77">
        <v>8.1</v>
      </c>
      <c r="I48" s="77">
        <v>8.25</v>
      </c>
      <c r="J48" s="77">
        <v>6.58</v>
      </c>
      <c r="K48" s="77">
        <v>26.78</v>
      </c>
      <c r="L48" s="77">
        <v>7.24</v>
      </c>
      <c r="M48" s="77">
        <v>5.87</v>
      </c>
      <c r="N48" s="77">
        <v>15.15</v>
      </c>
      <c r="O48" s="63"/>
      <c r="P48" s="64" t="s">
        <v>7</v>
      </c>
      <c r="Q48" s="1"/>
      <c r="R48" s="2"/>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s="3" customFormat="1" ht="17.25" customHeight="1" x14ac:dyDescent="0.15">
      <c r="A49" s="89" t="s">
        <v>46</v>
      </c>
      <c r="B49" s="79">
        <v>1.7</v>
      </c>
      <c r="C49" s="79">
        <v>1.1000000000000001</v>
      </c>
      <c r="D49" s="79">
        <v>1.1000000000000001</v>
      </c>
      <c r="E49" s="80">
        <v>0.70423969165878841</v>
      </c>
      <c r="F49" s="80">
        <v>0.65729772999382374</v>
      </c>
      <c r="G49" s="80">
        <v>0.77577117652179806</v>
      </c>
      <c r="H49" s="80">
        <v>0.85119291921697393</v>
      </c>
      <c r="I49" s="80">
        <v>0.85669630046498413</v>
      </c>
      <c r="J49" s="80">
        <v>0.65089597591798487</v>
      </c>
      <c r="K49" s="80">
        <v>0.82276933271277219</v>
      </c>
      <c r="L49" s="80">
        <v>0.98762146756858837</v>
      </c>
      <c r="M49" s="80">
        <v>0.84179647019434656</v>
      </c>
      <c r="N49" s="80">
        <v>1.5799942908150089</v>
      </c>
      <c r="O49" s="57"/>
      <c r="P49" s="65" t="s">
        <v>7</v>
      </c>
      <c r="Q49" s="1"/>
      <c r="R49" s="2"/>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s="3" customFormat="1" ht="15" x14ac:dyDescent="0.15">
      <c r="A50" s="81" t="s">
        <v>47</v>
      </c>
      <c r="B50" s="82"/>
      <c r="C50" s="82"/>
      <c r="D50" s="82"/>
      <c r="E50" s="82"/>
      <c r="F50" s="82"/>
      <c r="G50" s="82"/>
      <c r="H50" s="82"/>
      <c r="I50" s="82"/>
      <c r="J50" s="82"/>
      <c r="K50" s="82"/>
      <c r="L50" s="82"/>
      <c r="M50" s="82"/>
      <c r="N50" s="82"/>
      <c r="O50" s="1"/>
      <c r="P50" s="1"/>
      <c r="Q50" s="1"/>
      <c r="R50" s="2"/>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s="3" customFormat="1" ht="15" x14ac:dyDescent="0.15">
      <c r="A51" s="76" t="s">
        <v>48</v>
      </c>
      <c r="B51" s="82"/>
      <c r="C51" s="82"/>
      <c r="D51" s="82"/>
      <c r="E51" s="82"/>
      <c r="F51" s="82"/>
      <c r="G51" s="82"/>
      <c r="H51" s="82"/>
      <c r="I51" s="82"/>
      <c r="J51" s="82"/>
      <c r="K51" s="82"/>
      <c r="L51" s="82"/>
      <c r="M51" s="83"/>
      <c r="N51" s="83"/>
      <c r="O51" s="1"/>
      <c r="P51" s="1"/>
      <c r="Q51" s="1"/>
      <c r="R51" s="2"/>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s="3" customFormat="1" ht="15" x14ac:dyDescent="0.15">
      <c r="A52" s="76" t="s">
        <v>49</v>
      </c>
      <c r="B52" s="82"/>
      <c r="C52" s="82"/>
      <c r="D52" s="82"/>
      <c r="E52" s="82"/>
      <c r="F52" s="82"/>
      <c r="G52" s="82"/>
      <c r="H52" s="82"/>
      <c r="I52" s="82"/>
      <c r="J52" s="82"/>
      <c r="K52" s="82"/>
      <c r="L52" s="82"/>
      <c r="M52" s="84"/>
      <c r="N52" s="82"/>
      <c r="O52" s="1"/>
      <c r="P52" s="1"/>
      <c r="Q52" s="1"/>
      <c r="R52" s="2"/>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s="3" customFormat="1" ht="15" x14ac:dyDescent="0.15">
      <c r="A53" s="76" t="s">
        <v>50</v>
      </c>
      <c r="B53" s="82"/>
      <c r="C53" s="82"/>
      <c r="D53" s="82"/>
      <c r="E53" s="82"/>
      <c r="F53" s="82"/>
      <c r="G53" s="82"/>
      <c r="H53" s="82"/>
      <c r="I53" s="82"/>
      <c r="J53" s="82"/>
      <c r="K53" s="82"/>
      <c r="L53" s="82"/>
      <c r="M53" s="83"/>
      <c r="N53" s="83"/>
      <c r="O53" s="1"/>
      <c r="P53" s="1"/>
      <c r="Q53" s="1"/>
      <c r="R53" s="2"/>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s="3" customFormat="1" ht="15" x14ac:dyDescent="0.15">
      <c r="A54" s="76" t="s">
        <v>51</v>
      </c>
      <c r="B54" s="82"/>
      <c r="C54" s="82"/>
      <c r="D54" s="82"/>
      <c r="E54" s="82"/>
      <c r="F54" s="82"/>
      <c r="G54" s="82"/>
      <c r="H54" s="82"/>
      <c r="I54" s="82"/>
      <c r="J54" s="82"/>
      <c r="K54" s="82"/>
      <c r="L54" s="82"/>
      <c r="M54" s="84"/>
      <c r="N54" s="82"/>
      <c r="O54" s="1"/>
      <c r="P54" s="1"/>
      <c r="Q54" s="1"/>
      <c r="R54" s="2"/>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ht="15" x14ac:dyDescent="0.15">
      <c r="A55" s="76" t="s">
        <v>52</v>
      </c>
      <c r="B55" s="82"/>
      <c r="C55" s="82"/>
      <c r="D55" s="82"/>
      <c r="E55" s="82"/>
      <c r="F55" s="82"/>
      <c r="G55" s="82"/>
      <c r="H55" s="82"/>
      <c r="I55" s="82"/>
      <c r="J55" s="82"/>
      <c r="K55" s="82"/>
      <c r="L55" s="82"/>
      <c r="M55" s="82"/>
      <c r="N55" s="82"/>
    </row>
    <row r="56" spans="1:52" ht="15" x14ac:dyDescent="0.15">
      <c r="A56" s="76" t="s">
        <v>53</v>
      </c>
      <c r="B56" s="82"/>
      <c r="C56" s="82"/>
      <c r="D56" s="82"/>
      <c r="E56" s="82"/>
      <c r="F56" s="82"/>
      <c r="G56" s="82"/>
      <c r="H56" s="82"/>
      <c r="I56" s="82"/>
      <c r="J56" s="82"/>
      <c r="K56" s="82"/>
      <c r="L56" s="82"/>
      <c r="M56" s="82"/>
      <c r="N56" s="82"/>
    </row>
    <row r="57" spans="1:52" ht="15" x14ac:dyDescent="0.15">
      <c r="A57" s="76" t="s">
        <v>54</v>
      </c>
      <c r="B57" s="82"/>
      <c r="C57" s="82"/>
      <c r="D57" s="82"/>
      <c r="E57" s="82"/>
      <c r="F57" s="82"/>
      <c r="G57" s="82"/>
      <c r="H57" s="82"/>
      <c r="I57" s="82"/>
      <c r="J57" s="82"/>
      <c r="K57" s="82"/>
      <c r="L57" s="82"/>
      <c r="M57" s="82"/>
      <c r="N57" s="82"/>
    </row>
  </sheetData>
  <phoneticPr fontId="3"/>
  <pageMargins left="0.86614173228346458" right="0.35433070866141736" top="0.74803149606299213" bottom="0.39370078740157483" header="0.43307086614173229" footer="0.27559055118110237"/>
  <pageSetup paperSize="8" scale="68" orientation="landscape" cellComments="asDisplayed" r:id="rId1"/>
  <headerFooter alignWithMargins="0"/>
  <rowBreaks count="1" manualBreakCount="1">
    <brk id="6" max="2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9203F09963ECE4A9D8AB0DED69C849D" ma:contentTypeVersion="13" ma:contentTypeDescription="新しいドキュメントを作成します。" ma:contentTypeScope="" ma:versionID="da9381dfa7beb8a34964e321a1f8d03d">
  <xsd:schema xmlns:xsd="http://www.w3.org/2001/XMLSchema" xmlns:xs="http://www.w3.org/2001/XMLSchema" xmlns:p="http://schemas.microsoft.com/office/2006/metadata/properties" xmlns:ns2="e014d92b-adf3-4698-9383-b2eda66f1471" xmlns:ns3="374752d7-8e8b-4242-920f-a497d1d9613b" targetNamespace="http://schemas.microsoft.com/office/2006/metadata/properties" ma:root="true" ma:fieldsID="6572d7cfad8e01b276d16c40927e5e02" ns2:_="" ns3:_="">
    <xsd:import namespace="e014d92b-adf3-4698-9383-b2eda66f1471"/>
    <xsd:import namespace="374752d7-8e8b-4242-920f-a497d1d9613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14d92b-adf3-4698-9383-b2eda66f14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6bec4008-8cb5-4389-b80d-5d06898f0654"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4752d7-8e8b-4242-920f-a497d1d9613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92a15aa-c8c8-4e62-8b87-07f0c1735144}" ma:internalName="TaxCatchAll" ma:showField="CatchAllData" ma:web="374752d7-8e8b-4242-920f-a497d1d9613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7C20DD-7615-4EC6-9E94-702CCB15C9BC}">
  <ds:schemaRefs>
    <ds:schemaRef ds:uri="http://schemas.microsoft.com/sharepoint/v3/contenttype/forms"/>
  </ds:schemaRefs>
</ds:datastoreItem>
</file>

<file path=customXml/itemProps2.xml><?xml version="1.0" encoding="utf-8"?>
<ds:datastoreItem xmlns:ds="http://schemas.openxmlformats.org/officeDocument/2006/customXml" ds:itemID="{958BE97A-7822-4382-9469-AEC508A6F4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14d92b-adf3-4698-9383-b2eda66f1471"/>
    <ds:schemaRef ds:uri="374752d7-8e8b-4242-920f-a497d1d961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FH2024_en</vt:lpstr>
      <vt:lpstr>FH2024_en!Print_Area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2021-09-15T04:51:50Z</dcterms:created>
  <dcterms:modified xsi:type="dcterms:W3CDTF">2024-12-20T02:23:14Z</dcterms:modified>
  <cp:category/>
  <cp:contentStatus/>
</cp:coreProperties>
</file>